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4240" windowHeight="13140" activeTab="2"/>
  </bookViews>
  <sheets>
    <sheet name="Actual FC &amp; PGCIL &amp; TM Cost" sheetId="3" r:id="rId1"/>
    <sheet name="Abstract Avail&amp;Strand" sheetId="5" r:id="rId2"/>
    <sheet name="Addnl Surcharge 21-22_H2" sheetId="1" r:id="rId3"/>
    <sheet name="OA Sales Trend" sheetId="6" state="hidden" r:id="rId4"/>
  </sheets>
  <definedNames>
    <definedName name="_xlnm.Print_Area" localSheetId="0">'Actual FC &amp; PGCIL &amp; TM Cost'!$B$41:$D$53</definedName>
    <definedName name="_xlnm.Print_Area" localSheetId="2">'Addnl Surcharge 21-22_H2'!$A$1:$E$19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J5" i="5" l="1"/>
  <c r="J6" i="5"/>
  <c r="J7" i="5"/>
  <c r="J8" i="5"/>
  <c r="J4" i="5"/>
  <c r="H14" i="3" l="1"/>
  <c r="H13" i="3"/>
  <c r="F16" i="3"/>
  <c r="C37" i="3" l="1"/>
  <c r="C50" i="3" l="1"/>
  <c r="C47" i="3"/>
  <c r="C42" i="3"/>
  <c r="G13" i="6" l="1"/>
  <c r="F13" i="6"/>
  <c r="F6" i="6"/>
  <c r="F5" i="6"/>
  <c r="D13" i="6"/>
  <c r="F8" i="6"/>
  <c r="F9" i="6"/>
  <c r="F10" i="6"/>
  <c r="F11" i="6"/>
  <c r="F12" i="6"/>
  <c r="F7" i="6"/>
  <c r="E4" i="1"/>
  <c r="E3" i="1"/>
  <c r="C26" i="3"/>
  <c r="E16" i="3"/>
  <c r="C19" i="3"/>
  <c r="C22" i="3"/>
  <c r="C53" i="3"/>
  <c r="E8" i="1" s="1"/>
  <c r="C40" i="3" l="1"/>
  <c r="G16" i="3"/>
  <c r="E9" i="1" l="1"/>
  <c r="E10" i="1" s="1"/>
  <c r="E12" i="1" s="1"/>
  <c r="E14" i="1" s="1"/>
  <c r="E16" i="1" s="1"/>
  <c r="H16" i="3"/>
  <c r="C55" i="3"/>
  <c r="E5" i="1"/>
  <c r="E6" i="1" s="1"/>
  <c r="E7" i="1" s="1"/>
  <c r="E17" i="1" l="1"/>
  <c r="E19" i="1" s="1"/>
</calcChain>
</file>

<file path=xl/comments1.xml><?xml version="1.0" encoding="utf-8"?>
<comments xmlns="http://schemas.openxmlformats.org/spreadsheetml/2006/main">
  <authors>
    <author>admin</author>
  </authors>
  <commentList>
    <comment ref="E1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Excluding Captive</t>
        </r>
      </text>
    </comment>
  </commentList>
</comments>
</file>

<file path=xl/sharedStrings.xml><?xml version="1.0" encoding="utf-8"?>
<sst xmlns="http://schemas.openxmlformats.org/spreadsheetml/2006/main" count="161" uniqueCount="139">
  <si>
    <t xml:space="preserve">Additional Surcharge </t>
  </si>
  <si>
    <t>Unit</t>
  </si>
  <si>
    <t>{A}</t>
  </si>
  <si>
    <t>Long term available capacity</t>
  </si>
  <si>
    <t>MW</t>
  </si>
  <si>
    <t>{B}</t>
  </si>
  <si>
    <t>Capacity stranded due to open access</t>
  </si>
  <si>
    <t>Capacity stranded due to open access incl Captive</t>
  </si>
  <si>
    <t>{C}</t>
  </si>
  <si>
    <t>Fixed Charges paid</t>
  </si>
  <si>
    <t>Rs. crore</t>
  </si>
  <si>
    <t>Actual FC excl NCEs</t>
  </si>
  <si>
    <t>{D}={C}÷{A}</t>
  </si>
  <si>
    <t>Fixed Charges per MW</t>
  </si>
  <si>
    <t>Rs. crore/MW</t>
  </si>
  <si>
    <t>{E}={D}x{B}</t>
  </si>
  <si>
    <t>Fixed Charges for stranded capacity</t>
  </si>
  <si>
    <t>{F}</t>
  </si>
  <si>
    <t>Transmission charges paid</t>
  </si>
  <si>
    <t>{G}</t>
  </si>
  <si>
    <t>Actual Energy scheduled</t>
  </si>
  <si>
    <t>MU</t>
  </si>
  <si>
    <t>{H}={F}÷{G}</t>
  </si>
  <si>
    <t>Transmission charges per unit</t>
  </si>
  <si>
    <t>Rs./kWh</t>
  </si>
  <si>
    <t>I</t>
  </si>
  <si>
    <t>Distribution charges as per Tariff Order</t>
  </si>
  <si>
    <t>{J}={H}+{I}</t>
  </si>
  <si>
    <t>Total transmission and distribution charges per unit</t>
  </si>
  <si>
    <t>{K}</t>
  </si>
  <si>
    <t>Energy consumed by open access consumers from the DISCOM</t>
  </si>
  <si>
    <t>{L}={K}x{J}</t>
  </si>
  <si>
    <t>Transmission and distribution charges to be paid by open access consumers</t>
  </si>
  <si>
    <t>{M}</t>
  </si>
  <si>
    <t>Demand charges recovered by the DISCOM from open access consumers</t>
  </si>
  <si>
    <t>Demand Charges Excl GPCIL &amp; TP</t>
  </si>
  <si>
    <t>{N}={M}-{L}</t>
  </si>
  <si>
    <t>Demand charges to be adjusted</t>
  </si>
  <si>
    <t>{O}={E}-{N}</t>
  </si>
  <si>
    <t>Net stranded charges recoverable</t>
  </si>
  <si>
    <t>{P}</t>
  </si>
  <si>
    <t>Open access sales</t>
  </si>
  <si>
    <t>Total Intra State + Total  OA</t>
  </si>
  <si>
    <t>{Q}={O}÷{P}</t>
  </si>
  <si>
    <t>Additional Surcharge computed</t>
  </si>
  <si>
    <t>Actual FC incl NCEs</t>
  </si>
  <si>
    <t>Intra State(Excl Captive) + OA (Excl Captive)</t>
  </si>
  <si>
    <t>consider captive in OA MW</t>
  </si>
  <si>
    <t>Total Intra State + Total  OA + APGPCL</t>
  </si>
  <si>
    <t>Consider captive in OA Sales</t>
  </si>
  <si>
    <t>Only Third Party OA MU</t>
  </si>
  <si>
    <t>Energy Excl GPCIL</t>
  </si>
  <si>
    <t>Energy incl GPCIL</t>
  </si>
  <si>
    <t>Energy Excl GPCIL &amp; TP</t>
  </si>
  <si>
    <t>Demand Charges Excl GPCIL</t>
  </si>
  <si>
    <t>Demand Charges incl GPCIL</t>
  </si>
  <si>
    <t>Capacity stranded due to open access w/o Captive</t>
  </si>
  <si>
    <t>RTS-B</t>
  </si>
  <si>
    <t>CGS Total</t>
  </si>
  <si>
    <t>CGS</t>
  </si>
  <si>
    <t>NPC  Kaiga - I&amp; II</t>
  </si>
  <si>
    <t>NPC-MAPS</t>
  </si>
  <si>
    <t>NPC-Kudankulam</t>
  </si>
  <si>
    <t>NLC ST-I</t>
  </si>
  <si>
    <t>NLC ST-II</t>
  </si>
  <si>
    <t>NTPC(SR) I &amp; II</t>
  </si>
  <si>
    <t>NTPC(SR) ST III</t>
  </si>
  <si>
    <t>NTPC-Simhadri -I</t>
  </si>
  <si>
    <t>NTPC-Simhadri -II</t>
  </si>
  <si>
    <t>NTPC-Talcher-ST II</t>
  </si>
  <si>
    <t>NTPC KUDIGI I</t>
  </si>
  <si>
    <t>NTECL - VALLURU</t>
  </si>
  <si>
    <t>NLC Tamilnadu Power Ltd</t>
  </si>
  <si>
    <t>APGPCL ST-I</t>
  </si>
  <si>
    <t>APGPCL ST-I &amp; II</t>
  </si>
  <si>
    <t>IPPs</t>
  </si>
  <si>
    <t>APGPCL Total</t>
  </si>
  <si>
    <t>M/s Thermal Powertech 570MW</t>
  </si>
  <si>
    <t>Thermal Powertech 269.45 Mw</t>
  </si>
  <si>
    <t>TOTAL IPPs/MPPs</t>
  </si>
  <si>
    <t>KTPS V (D)</t>
  </si>
  <si>
    <t>KTPS VI</t>
  </si>
  <si>
    <t>Kakatiya Stage-I</t>
  </si>
  <si>
    <t>Kakatiya Stage-II</t>
  </si>
  <si>
    <t>KTPS Stage VII</t>
  </si>
  <si>
    <t>Interest on Pension bonds</t>
  </si>
  <si>
    <t>TSGENCO-Hydel</t>
  </si>
  <si>
    <t>TSGENCO-TOTAL</t>
  </si>
  <si>
    <t>SINGARENI CCL U1&amp;U2</t>
  </si>
  <si>
    <t>Chatthisgargh SPDCL</t>
  </si>
  <si>
    <t>PGCIL POC</t>
  </si>
  <si>
    <t>PGCIL Non POC</t>
  </si>
  <si>
    <t>POSOCO (SRLDC Fees &amp; Charges)</t>
  </si>
  <si>
    <t>TSTRANSCO-TR TSNPDCL</t>
  </si>
  <si>
    <t>TSTRANSCO-TR TSSPDCL</t>
  </si>
  <si>
    <t>TSTRANSCO-SLDC TSNPDCL</t>
  </si>
  <si>
    <t>TSTRANSCO-SLDC TSSPDCL</t>
  </si>
  <si>
    <t>Name of the Generating Station</t>
  </si>
  <si>
    <t>Distibution cost (Rs./Unit)</t>
  </si>
  <si>
    <t>Total Fixed Cost Excl NCEs</t>
  </si>
  <si>
    <t>PGCIL</t>
  </si>
  <si>
    <t>LTOA sembcorp</t>
  </si>
  <si>
    <t>Transco</t>
  </si>
  <si>
    <t>SLDC</t>
  </si>
  <si>
    <t>PGCIL &amp; T/m Cost</t>
  </si>
  <si>
    <t>Total</t>
  </si>
  <si>
    <t>SP</t>
  </si>
  <si>
    <t>NP</t>
  </si>
  <si>
    <t>Approved Distribution Cost (Cr.)</t>
  </si>
  <si>
    <t>Actual PP (MU)</t>
  </si>
  <si>
    <t>NNTPS</t>
  </si>
  <si>
    <t>BTPS</t>
  </si>
  <si>
    <t>Sale of Power (MU)</t>
  </si>
  <si>
    <t>Particular (in MW)</t>
  </si>
  <si>
    <t>Average</t>
  </si>
  <si>
    <t>Availibile capacity</t>
  </si>
  <si>
    <t>Scheduled Capacity</t>
  </si>
  <si>
    <t>OA Scheduled Capacity</t>
  </si>
  <si>
    <t>Stranded Capacity</t>
  </si>
  <si>
    <t>FY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</si>
  <si>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</si>
  <si>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</si>
  <si>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</si>
  <si>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</si>
  <si>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</si>
  <si>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</si>
  <si>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</si>
  <si>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</si>
  <si>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H1</t>
  </si>
  <si>
    <t>H2</t>
  </si>
  <si>
    <t>OA Sales excluding captive (MU)</t>
  </si>
  <si>
    <t>Filings for FY22-23 H2</t>
  </si>
  <si>
    <t>Oct'21 to Mar'22</t>
  </si>
  <si>
    <t>FY21-22 H2 (Actuals)</t>
  </si>
  <si>
    <t>Thermal Incentive 2021-22</t>
  </si>
  <si>
    <t>considering Actual Data of Oct'21 to Mar'22</t>
  </si>
  <si>
    <t>(Deficit)/Surplus</t>
  </si>
  <si>
    <t>Average of the particulars for a month</t>
  </si>
  <si>
    <t>1.Stranded Capacity arrived by considering minimum of backing down i.e., deficit and OA scheduled capacity for each 15-min block
2.Average for the entire six-month period is done instead of intermittent averages as mentioned by the Hon’ble Commission in AS Order for H1 of FY22-23 dated:22.03.2022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</si>
</sst>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9" fillId="0" borderId="0"/>
  </cellStyleXfs>
  <cellXfs count="90">
    <xf numFmtId="0" fontId="0" fillId="0" borderId="0" xfId="0"/>
    <xf numFmtId="0" fontId="0" fillId="0" borderId="6" xfId="0" applyBorder="1" applyAlignment="1">
      <alignment vertical="top" wrapText="1"/>
    </xf>
    <xf numFmtId="0" fontId="0" fillId="0" borderId="1" xfId="0" applyBorder="1"/>
    <xf numFmtId="2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2" fontId="3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17" fontId="2" fillId="2" borderId="1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Fill="1" applyBorder="1"/>
    <xf numFmtId="1" fontId="8" fillId="0" borderId="1" xfId="0" applyNumberFormat="1" applyFont="1" applyFill="1" applyBorder="1"/>
    <xf numFmtId="1" fontId="0" fillId="0" borderId="1" xfId="0" applyNumberFormat="1" applyFont="1" applyFill="1" applyBorder="1"/>
    <xf numFmtId="1" fontId="3" fillId="0" borderId="1" xfId="0" applyNumberFormat="1" applyFont="1" applyFill="1" applyBorder="1"/>
    <xf numFmtId="2" fontId="0" fillId="0" borderId="1" xfId="0" applyNumberFormat="1" applyFont="1" applyFill="1" applyBorder="1"/>
    <xf numFmtId="1" fontId="5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/>
    <xf numFmtId="1" fontId="5" fillId="0" borderId="1" xfId="0" applyNumberFormat="1" applyFont="1" applyFill="1" applyBorder="1"/>
    <xf numFmtId="1" fontId="7" fillId="4" borderId="1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0" fillId="0" borderId="1" xfId="0" applyFont="1" applyBorder="1"/>
    <xf numFmtId="0" fontId="2" fillId="0" borderId="0" xfId="0" applyFont="1" applyAlignment="1">
      <alignment wrapText="1"/>
    </xf>
    <xf numFmtId="0" fontId="2" fillId="4" borderId="1" xfId="0" applyFont="1" applyFill="1" applyBorder="1"/>
    <xf numFmtId="2" fontId="2" fillId="4" borderId="1" xfId="0" applyNumberFormat="1" applyFont="1" applyFill="1" applyBorder="1"/>
    <xf numFmtId="0" fontId="0" fillId="5" borderId="0" xfId="0" applyFill="1"/>
    <xf numFmtId="164" fontId="2" fillId="5" borderId="0" xfId="0" applyNumberFormat="1" applyFont="1" applyFill="1"/>
    <xf numFmtId="2" fontId="2" fillId="0" borderId="0" xfId="0" applyNumberFormat="1" applyFont="1"/>
    <xf numFmtId="2" fontId="2" fillId="3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2" fillId="0" borderId="0" xfId="0" applyNumberFormat="1" applyFont="1" applyFill="1" applyBorder="1"/>
    <xf numFmtId="2" fontId="0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/>
    </xf>
    <xf numFmtId="1" fontId="0" fillId="0" borderId="1" xfId="0" applyNumberForma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2" fontId="0" fillId="0" borderId="1" xfId="0" applyNumberFormat="1" applyFont="1" applyBorder="1"/>
    <xf numFmtId="0" fontId="0" fillId="7" borderId="0" xfId="0" applyFont="1" applyFill="1" applyBorder="1"/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2" fontId="0" fillId="0" borderId="0" xfId="0" applyNumberFormat="1" applyFont="1" applyBorder="1"/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2" fontId="15" fillId="0" borderId="0" xfId="0" applyNumberFormat="1" applyFont="1"/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17" fontId="14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/>
    <xf numFmtId="1" fontId="14" fillId="0" borderId="1" xfId="0" applyNumberFormat="1" applyFont="1" applyFill="1" applyBorder="1"/>
    <xf numFmtId="0" fontId="2" fillId="0" borderId="2" xfId="0" applyFont="1" applyBorder="1"/>
    <xf numFmtId="1" fontId="2" fillId="0" borderId="2" xfId="0" applyNumberFormat="1" applyFont="1" applyBorder="1"/>
    <xf numFmtId="0" fontId="13" fillId="0" borderId="1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colors>
    <mruColors>
      <color rgb="FFFFFF99"/>
      <color rgb="FFFFFFCC"/>
      <color rgb="FFFFFF00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99"/>
  </sheetPr>
  <dimension ref="B2:T58"/>
  <sheetViews>
    <sheetView zoomScaleNormal="100" workbookViewId="0">
      <selection activeCell="K8" sqref="K8"/>
    </sheetView>
  </sheetViews>
  <sheetFormatPr defaultRowHeight="15" x14ac:dyDescent="0.25"/>
  <cols>
    <col min="1" max="1" width="9.140625" style="16"/>
    <col min="2" max="2" width="29.85546875" style="16" customWidth="1"/>
    <col min="3" max="3" width="15.42578125" style="16" bestFit="1" customWidth="1"/>
    <col min="4" max="4" width="15" style="16" hidden="1" customWidth="1"/>
    <col min="5" max="7" width="17.140625" style="27" hidden="1" customWidth="1"/>
    <col min="8" max="8" width="28.7109375" style="27" hidden="1" customWidth="1"/>
    <col min="9" max="10" width="14" style="16" customWidth="1"/>
    <col min="11" max="14" width="13.85546875" style="16" customWidth="1"/>
    <col min="15" max="15" width="12" style="16" customWidth="1"/>
    <col min="16" max="16" width="13.28515625" style="16" customWidth="1"/>
    <col min="17" max="18" width="12.42578125" style="16" customWidth="1"/>
    <col min="19" max="20" width="12.42578125" style="28" customWidth="1"/>
    <col min="21" max="22" width="14.140625" style="16" customWidth="1"/>
    <col min="23" max="23" width="11" style="16" bestFit="1" customWidth="1"/>
    <col min="24" max="16384" width="9.140625" style="16"/>
  </cols>
  <sheetData>
    <row r="2" spans="2:20" s="42" customFormat="1" ht="60" customHeight="1" x14ac:dyDescent="0.25">
      <c r="C2" s="50"/>
      <c r="E2" s="43"/>
      <c r="F2" s="43"/>
      <c r="G2" s="43"/>
      <c r="H2" s="43"/>
      <c r="S2" s="44"/>
      <c r="T2" s="44"/>
    </row>
    <row r="3" spans="2:20" x14ac:dyDescent="0.25">
      <c r="B3" s="11" t="s">
        <v>97</v>
      </c>
      <c r="C3" s="40" t="s">
        <v>132</v>
      </c>
      <c r="D3" s="14"/>
    </row>
    <row r="4" spans="2:20" x14ac:dyDescent="0.25">
      <c r="B4" s="18" t="s">
        <v>59</v>
      </c>
      <c r="C4" s="29"/>
      <c r="D4"/>
    </row>
    <row r="5" spans="2:20" x14ac:dyDescent="0.25">
      <c r="B5" s="19" t="s">
        <v>60</v>
      </c>
      <c r="C5" s="21">
        <v>0</v>
      </c>
      <c r="D5"/>
    </row>
    <row r="6" spans="2:20" x14ac:dyDescent="0.25">
      <c r="B6" s="19" t="s">
        <v>61</v>
      </c>
      <c r="C6" s="21">
        <v>0</v>
      </c>
      <c r="D6" s="30"/>
      <c r="E6" s="45"/>
      <c r="F6" s="45"/>
      <c r="G6" s="45"/>
      <c r="H6" s="45"/>
    </row>
    <row r="7" spans="2:20" x14ac:dyDescent="0.25">
      <c r="B7" s="19" t="s">
        <v>62</v>
      </c>
      <c r="C7" s="21">
        <v>0</v>
      </c>
    </row>
    <row r="8" spans="2:20" x14ac:dyDescent="0.25">
      <c r="B8" s="19" t="s">
        <v>63</v>
      </c>
      <c r="C8" s="21">
        <v>14.392501444499999</v>
      </c>
    </row>
    <row r="9" spans="2:20" x14ac:dyDescent="0.25">
      <c r="B9" s="19" t="s">
        <v>64</v>
      </c>
      <c r="C9" s="21">
        <v>21.460317958499999</v>
      </c>
    </row>
    <row r="10" spans="2:20" x14ac:dyDescent="0.25">
      <c r="B10" s="19" t="s">
        <v>110</v>
      </c>
      <c r="C10" s="21">
        <v>33.805811800000001</v>
      </c>
    </row>
    <row r="11" spans="2:20" x14ac:dyDescent="0.25">
      <c r="B11" s="19" t="s">
        <v>65</v>
      </c>
      <c r="C11" s="21">
        <v>88.425802099999999</v>
      </c>
      <c r="F11" s="73" t="s">
        <v>109</v>
      </c>
      <c r="G11" s="73"/>
      <c r="H11" s="16"/>
    </row>
    <row r="12" spans="2:20" x14ac:dyDescent="0.25">
      <c r="B12" s="19" t="s">
        <v>66</v>
      </c>
      <c r="C12" s="21">
        <v>31.592467899999999</v>
      </c>
      <c r="D12" s="14"/>
      <c r="E12" s="72" t="s">
        <v>108</v>
      </c>
      <c r="F12" s="71" t="s">
        <v>128</v>
      </c>
      <c r="G12" s="71" t="s">
        <v>129</v>
      </c>
      <c r="H12" s="14" t="s">
        <v>98</v>
      </c>
    </row>
    <row r="13" spans="2:20" x14ac:dyDescent="0.25">
      <c r="B13" s="19" t="s">
        <v>67</v>
      </c>
      <c r="C13" s="21">
        <v>183.43779359999999</v>
      </c>
      <c r="D13" s="48" t="s">
        <v>106</v>
      </c>
      <c r="E13" s="27">
        <v>4224.8900000000003</v>
      </c>
      <c r="F13" s="26">
        <v>25729.155838414201</v>
      </c>
      <c r="G13" s="26">
        <v>26301.293856767563</v>
      </c>
      <c r="H13" s="80">
        <f>E13*10/(G13-70.55%*(G15+F15))</f>
        <v>1.7791360937074252</v>
      </c>
    </row>
    <row r="14" spans="2:20" x14ac:dyDescent="0.25">
      <c r="B14" s="19" t="s">
        <v>68</v>
      </c>
      <c r="C14" s="21">
        <v>143.3060965</v>
      </c>
      <c r="D14" s="48" t="s">
        <v>107</v>
      </c>
      <c r="E14" s="27">
        <v>3138.52</v>
      </c>
      <c r="F14" s="26">
        <v>10787.490518304799</v>
      </c>
      <c r="G14" s="26">
        <v>11095.241778322441</v>
      </c>
      <c r="H14" s="80">
        <f>E14*10/(G14-29.45%*(G15+F15))</f>
        <v>3.129465173422735</v>
      </c>
    </row>
    <row r="15" spans="2:20" x14ac:dyDescent="0.25">
      <c r="B15" s="19" t="s">
        <v>69</v>
      </c>
      <c r="C15" s="21">
        <v>59.223980300000001</v>
      </c>
      <c r="D15" s="16" t="s">
        <v>112</v>
      </c>
      <c r="F15" s="27">
        <v>2239.6210000000001</v>
      </c>
      <c r="G15" s="46">
        <v>1381.1181372713143</v>
      </c>
      <c r="H15" s="16"/>
    </row>
    <row r="16" spans="2:20" x14ac:dyDescent="0.25">
      <c r="B16" s="19" t="s">
        <v>70</v>
      </c>
      <c r="C16" s="21">
        <v>147.9676432</v>
      </c>
      <c r="D16" s="13" t="s">
        <v>105</v>
      </c>
      <c r="E16" s="45">
        <f>SUM(E13:E14)</f>
        <v>7363.41</v>
      </c>
      <c r="F16" s="45">
        <f>SUM(F13:F14,-F15)</f>
        <v>34277.025356719001</v>
      </c>
      <c r="G16" s="45">
        <f>SUM(G13:G14,-G15)</f>
        <v>36015.417497818693</v>
      </c>
      <c r="H16" s="35">
        <f>E16*10/SUM(F16:G16)</f>
        <v>1.0475393514545726</v>
      </c>
    </row>
    <row r="17" spans="2:11" x14ac:dyDescent="0.25">
      <c r="B17" s="19" t="s">
        <v>71</v>
      </c>
      <c r="C17" s="21">
        <v>71.891481600000006</v>
      </c>
    </row>
    <row r="18" spans="2:11" x14ac:dyDescent="0.25">
      <c r="B18" s="19" t="s">
        <v>72</v>
      </c>
      <c r="C18" s="21">
        <v>48.089598488999997</v>
      </c>
    </row>
    <row r="19" spans="2:11" x14ac:dyDescent="0.25">
      <c r="B19" s="22" t="s">
        <v>58</v>
      </c>
      <c r="C19" s="32">
        <f>SUM(C4:C18)</f>
        <v>843.59349489199997</v>
      </c>
    </row>
    <row r="20" spans="2:11" x14ac:dyDescent="0.25">
      <c r="B20" s="19" t="s">
        <v>73</v>
      </c>
      <c r="C20" s="29">
        <v>0</v>
      </c>
    </row>
    <row r="21" spans="2:11" x14ac:dyDescent="0.25">
      <c r="B21" s="19" t="s">
        <v>74</v>
      </c>
      <c r="C21" s="29">
        <v>0</v>
      </c>
    </row>
    <row r="22" spans="2:11" x14ac:dyDescent="0.25">
      <c r="B22" s="25" t="s">
        <v>76</v>
      </c>
      <c r="C22" s="31">
        <f t="shared" ref="C22" si="0">C21+C20</f>
        <v>0</v>
      </c>
    </row>
    <row r="23" spans="2:11" x14ac:dyDescent="0.25">
      <c r="B23" s="24" t="s">
        <v>75</v>
      </c>
      <c r="C23" s="29"/>
    </row>
    <row r="24" spans="2:11" x14ac:dyDescent="0.25">
      <c r="B24" s="19" t="s">
        <v>77</v>
      </c>
      <c r="C24" s="62">
        <v>535.84050979999995</v>
      </c>
    </row>
    <row r="25" spans="2:11" x14ac:dyDescent="0.25">
      <c r="B25" s="20" t="s">
        <v>78</v>
      </c>
      <c r="C25" s="62">
        <v>161.97754399999999</v>
      </c>
    </row>
    <row r="26" spans="2:11" ht="15.75" customHeight="1" x14ac:dyDescent="0.25">
      <c r="B26" s="25" t="s">
        <v>79</v>
      </c>
      <c r="C26" s="32">
        <f>C25+C24</f>
        <v>697.81805379999992</v>
      </c>
    </row>
    <row r="27" spans="2:11" x14ac:dyDescent="0.25">
      <c r="B27" s="19" t="s">
        <v>80</v>
      </c>
      <c r="C27" s="62">
        <v>178.34499999999997</v>
      </c>
    </row>
    <row r="28" spans="2:11" x14ac:dyDescent="0.25">
      <c r="B28" s="19" t="s">
        <v>81</v>
      </c>
      <c r="C28" s="62">
        <v>268.07999989999996</v>
      </c>
    </row>
    <row r="29" spans="2:11" x14ac:dyDescent="0.25">
      <c r="B29" s="19" t="s">
        <v>57</v>
      </c>
      <c r="C29" s="62">
        <v>34.475424788888887</v>
      </c>
    </row>
    <row r="30" spans="2:11" x14ac:dyDescent="0.25">
      <c r="B30" s="19" t="s">
        <v>82</v>
      </c>
      <c r="C30" s="62">
        <v>255.7950000000001</v>
      </c>
      <c r="H30" s="64"/>
      <c r="I30" s="65"/>
      <c r="J30" s="65"/>
      <c r="K30" s="66"/>
    </row>
    <row r="31" spans="2:11" x14ac:dyDescent="0.25">
      <c r="B31" s="19" t="s">
        <v>83</v>
      </c>
      <c r="C31" s="62">
        <v>411.75754680833325</v>
      </c>
      <c r="H31" s="64"/>
      <c r="I31" s="67"/>
      <c r="J31" s="67"/>
      <c r="K31" s="67"/>
    </row>
    <row r="32" spans="2:11" x14ac:dyDescent="0.25">
      <c r="B32" s="19" t="s">
        <v>84</v>
      </c>
      <c r="C32" s="62">
        <v>437.95903715490209</v>
      </c>
      <c r="H32" s="64"/>
      <c r="I32" s="68"/>
      <c r="J32" s="68"/>
      <c r="K32" s="67"/>
    </row>
    <row r="33" spans="2:11" x14ac:dyDescent="0.25">
      <c r="B33" s="17" t="s">
        <v>111</v>
      </c>
      <c r="C33" s="62">
        <v>739.39898375882296</v>
      </c>
      <c r="I33" s="69"/>
      <c r="J33" s="70"/>
      <c r="K33" s="67"/>
    </row>
    <row r="34" spans="2:11" x14ac:dyDescent="0.25">
      <c r="B34" s="19" t="s">
        <v>85</v>
      </c>
      <c r="C34" s="21">
        <v>805.1966668</v>
      </c>
    </row>
    <row r="35" spans="2:11" x14ac:dyDescent="0.25">
      <c r="B35" s="19" t="s">
        <v>86</v>
      </c>
      <c r="C35" s="62">
        <v>590.57749999999987</v>
      </c>
    </row>
    <row r="36" spans="2:11" x14ac:dyDescent="0.25">
      <c r="B36" s="19" t="s">
        <v>134</v>
      </c>
      <c r="C36" s="62">
        <v>7.4199254000000003</v>
      </c>
    </row>
    <row r="37" spans="2:11" x14ac:dyDescent="0.25">
      <c r="B37" s="23" t="s">
        <v>87</v>
      </c>
      <c r="C37" s="32">
        <f>SUM(C27:C36)</f>
        <v>3729.0050846109471</v>
      </c>
    </row>
    <row r="38" spans="2:11" x14ac:dyDescent="0.25">
      <c r="B38" s="19" t="s">
        <v>88</v>
      </c>
      <c r="C38" s="62">
        <v>721.70500000000004</v>
      </c>
    </row>
    <row r="39" spans="2:11" x14ac:dyDescent="0.25">
      <c r="B39" s="19" t="s">
        <v>89</v>
      </c>
      <c r="C39" s="62">
        <v>71.651250000000005</v>
      </c>
    </row>
    <row r="40" spans="2:11" x14ac:dyDescent="0.25">
      <c r="B40" s="23" t="s">
        <v>99</v>
      </c>
      <c r="C40" s="32">
        <f>(C19+C22+C26+C37+C38+C39)</f>
        <v>6063.7728833029469</v>
      </c>
    </row>
    <row r="41" spans="2:11" x14ac:dyDescent="0.25">
      <c r="C41" s="16" t="s">
        <v>133</v>
      </c>
      <c r="D41" s="63"/>
    </row>
    <row r="42" spans="2:11" x14ac:dyDescent="0.25">
      <c r="B42" s="31" t="s">
        <v>100</v>
      </c>
      <c r="C42" s="32">
        <f>(C43+C44+C45+C46)</f>
        <v>630.17538146660377</v>
      </c>
      <c r="D42" s="45"/>
    </row>
    <row r="43" spans="2:11" x14ac:dyDescent="0.25">
      <c r="B43" s="19" t="s">
        <v>90</v>
      </c>
      <c r="C43" s="62">
        <v>625.920029</v>
      </c>
      <c r="D43" s="26"/>
    </row>
    <row r="44" spans="2:11" x14ac:dyDescent="0.25">
      <c r="B44" s="19" t="s">
        <v>91</v>
      </c>
      <c r="C44" s="62">
        <v>2.5397636000000001</v>
      </c>
      <c r="D44" s="26"/>
    </row>
    <row r="45" spans="2:11" x14ac:dyDescent="0.25">
      <c r="B45" s="19" t="s">
        <v>92</v>
      </c>
      <c r="C45" s="62">
        <v>1.4641211666036809</v>
      </c>
      <c r="D45" s="26"/>
    </row>
    <row r="46" spans="2:11" x14ac:dyDescent="0.25">
      <c r="B46" s="19" t="s">
        <v>101</v>
      </c>
      <c r="C46" s="21">
        <v>0.25146770000000002</v>
      </c>
      <c r="D46" s="26"/>
    </row>
    <row r="47" spans="2:11" x14ac:dyDescent="0.25">
      <c r="B47" s="23" t="s">
        <v>102</v>
      </c>
      <c r="C47" s="32">
        <f>(C48+C49)</f>
        <v>1428.2172230400001</v>
      </c>
      <c r="D47" s="45"/>
    </row>
    <row r="48" spans="2:11" x14ac:dyDescent="0.25">
      <c r="B48" s="19" t="s">
        <v>93</v>
      </c>
      <c r="C48" s="62">
        <v>423.78070464000007</v>
      </c>
      <c r="D48" s="26"/>
    </row>
    <row r="49" spans="2:6" x14ac:dyDescent="0.25">
      <c r="B49" s="19" t="s">
        <v>94</v>
      </c>
      <c r="C49" s="62">
        <v>1004.4365184</v>
      </c>
      <c r="D49" s="26"/>
    </row>
    <row r="50" spans="2:6" x14ac:dyDescent="0.25">
      <c r="B50" s="23" t="s">
        <v>103</v>
      </c>
      <c r="C50" s="32">
        <f>(C51+C52)</f>
        <v>22.4642388</v>
      </c>
      <c r="D50" s="45"/>
    </row>
    <row r="51" spans="2:6" x14ac:dyDescent="0.25">
      <c r="B51" s="19" t="s">
        <v>95</v>
      </c>
      <c r="C51" s="62">
        <v>6.6310403999999998</v>
      </c>
      <c r="D51" s="26"/>
    </row>
    <row r="52" spans="2:6" x14ac:dyDescent="0.25">
      <c r="B52" s="19" t="s">
        <v>96</v>
      </c>
      <c r="C52" s="62">
        <v>15.833198400000001</v>
      </c>
      <c r="D52" s="26"/>
    </row>
    <row r="53" spans="2:6" x14ac:dyDescent="0.25">
      <c r="B53" s="23" t="s">
        <v>104</v>
      </c>
      <c r="C53" s="32">
        <f t="shared" ref="C53" si="1">(C42+C47+C50)</f>
        <v>2080.8568433066039</v>
      </c>
      <c r="D53" s="45"/>
      <c r="E53" s="26"/>
      <c r="F53" s="26"/>
    </row>
    <row r="54" spans="2:6" x14ac:dyDescent="0.25">
      <c r="D54" s="28"/>
    </row>
    <row r="55" spans="2:6" x14ac:dyDescent="0.25">
      <c r="B55" s="33" t="s">
        <v>105</v>
      </c>
      <c r="C55" s="34">
        <f t="shared" ref="C55" si="2">C50+C47+C42+C40</f>
        <v>8144.6297266095507</v>
      </c>
    </row>
    <row r="57" spans="2:6" x14ac:dyDescent="0.25">
      <c r="B57"/>
    </row>
    <row r="58" spans="2:6" x14ac:dyDescent="0.25">
      <c r="B58"/>
    </row>
  </sheetData>
  <mergeCells count="1">
    <mergeCell ref="F11:G11"/>
  </mergeCells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C3:O19"/>
  <sheetViews>
    <sheetView topLeftCell="B1" zoomScaleNormal="100" workbookViewId="0">
      <selection activeCell="J7" sqref="J7"/>
    </sheetView>
  </sheetViews>
  <sheetFormatPr defaultRowHeight="15" x14ac:dyDescent="0.25"/>
  <cols>
    <col min="3" max="3" width="24.5703125" customWidth="1"/>
    <col min="4" max="9" width="0" hidden="1" customWidth="1"/>
    <col min="10" max="10" width="13.140625" customWidth="1"/>
  </cols>
  <sheetData>
    <row r="3" spans="3:15" x14ac:dyDescent="0.25">
      <c r="C3" s="52" t="s">
        <v>113</v>
      </c>
      <c r="D3" s="84">
        <v>44470</v>
      </c>
      <c r="E3" s="84">
        <v>44501</v>
      </c>
      <c r="F3" s="84">
        <v>44531</v>
      </c>
      <c r="G3" s="84">
        <v>44562</v>
      </c>
      <c r="H3" s="84">
        <v>44593</v>
      </c>
      <c r="I3" s="84">
        <v>44621</v>
      </c>
      <c r="J3" s="53" t="s">
        <v>114</v>
      </c>
    </row>
    <row r="4" spans="3:15" x14ac:dyDescent="0.25">
      <c r="C4" s="29" t="s">
        <v>115</v>
      </c>
      <c r="D4" s="85">
        <v>283749.06934333331</v>
      </c>
      <c r="E4" s="85">
        <v>232877.35094499993</v>
      </c>
      <c r="F4" s="85">
        <v>242771.14000124997</v>
      </c>
      <c r="G4" s="85">
        <v>260934.61954500002</v>
      </c>
      <c r="H4" s="85">
        <v>253655.81037166671</v>
      </c>
      <c r="I4" s="85">
        <v>281479.98642250005</v>
      </c>
      <c r="J4" s="60">
        <f>SUM(D4:I4)/(31+30+31+31+28+31)</f>
        <v>8546.5273441140107</v>
      </c>
      <c r="M4" s="41"/>
    </row>
    <row r="5" spans="3:15" x14ac:dyDescent="0.25">
      <c r="C5" s="29" t="s">
        <v>116</v>
      </c>
      <c r="D5" s="85">
        <v>243584.68528325978</v>
      </c>
      <c r="E5" s="85">
        <v>196826.33503969421</v>
      </c>
      <c r="F5" s="85">
        <v>212137.61341850625</v>
      </c>
      <c r="G5" s="85">
        <v>226956.69214916663</v>
      </c>
      <c r="H5" s="85">
        <v>233287.49441324107</v>
      </c>
      <c r="I5" s="85">
        <v>266120.37788083334</v>
      </c>
      <c r="J5" s="60">
        <f t="shared" ref="J5:J8" si="0">SUM(D5:I5)/(31+30+31+31+28+31)</f>
        <v>7576.4461438719854</v>
      </c>
    </row>
    <row r="6" spans="3:15" x14ac:dyDescent="0.25">
      <c r="C6" s="29" t="s">
        <v>136</v>
      </c>
      <c r="D6" s="85">
        <v>40164.384060073506</v>
      </c>
      <c r="E6" s="85">
        <v>36051.015905305743</v>
      </c>
      <c r="F6" s="85">
        <v>30633.526582743718</v>
      </c>
      <c r="G6" s="85">
        <v>33806.863750000004</v>
      </c>
      <c r="H6" s="85">
        <v>20368.315958425545</v>
      </c>
      <c r="I6" s="85">
        <v>15359.60854166667</v>
      </c>
      <c r="J6" s="60">
        <f t="shared" si="0"/>
        <v>969.14129010008344</v>
      </c>
    </row>
    <row r="7" spans="3:15" x14ac:dyDescent="0.25">
      <c r="C7" s="29" t="s">
        <v>117</v>
      </c>
      <c r="D7" s="85">
        <v>4948.7831249999999</v>
      </c>
      <c r="E7" s="85">
        <v>9739.7530673459169</v>
      </c>
      <c r="F7" s="85">
        <v>6082.2123124999989</v>
      </c>
      <c r="G7" s="85">
        <v>4474.3313312500004</v>
      </c>
      <c r="H7" s="85">
        <v>2446.6825833333337</v>
      </c>
      <c r="I7" s="85">
        <v>2271.3885000000018</v>
      </c>
      <c r="J7" s="60">
        <f t="shared" si="0"/>
        <v>164.63269735950138</v>
      </c>
    </row>
    <row r="8" spans="3:15" x14ac:dyDescent="0.25">
      <c r="C8" s="52" t="s">
        <v>118</v>
      </c>
      <c r="D8" s="86">
        <v>4549.428871807796</v>
      </c>
      <c r="E8" s="86">
        <v>8804.8543020502748</v>
      </c>
      <c r="F8" s="86">
        <v>5749.2153595410109</v>
      </c>
      <c r="G8" s="86">
        <v>4305.2387728151598</v>
      </c>
      <c r="H8" s="86">
        <v>2140.3295579427086</v>
      </c>
      <c r="I8" s="86">
        <v>2168.3904351758529</v>
      </c>
      <c r="J8" s="60">
        <f t="shared" si="0"/>
        <v>152.29372142490553</v>
      </c>
    </row>
    <row r="9" spans="3:15" ht="96" customHeight="1" x14ac:dyDescent="0.25">
      <c r="C9" s="81" t="s">
        <v>138</v>
      </c>
      <c r="D9" s="82"/>
      <c r="E9" s="82"/>
      <c r="F9" s="82"/>
      <c r="G9" s="82"/>
      <c r="H9" s="82"/>
      <c r="I9" s="82"/>
      <c r="J9" s="83"/>
    </row>
    <row r="10" spans="3:15" x14ac:dyDescent="0.25">
      <c r="D10" s="41"/>
      <c r="E10" s="41"/>
      <c r="F10" s="41"/>
      <c r="G10" s="41"/>
      <c r="H10" s="41"/>
      <c r="I10" s="41"/>
    </row>
    <row r="11" spans="3:15" x14ac:dyDescent="0.25">
      <c r="D11" s="41"/>
      <c r="E11" s="41"/>
      <c r="F11" s="41"/>
      <c r="G11" s="41"/>
      <c r="H11" s="41"/>
      <c r="I11" s="41"/>
    </row>
    <row r="13" spans="3:15" x14ac:dyDescent="0.25">
      <c r="C13" s="52" t="s">
        <v>113</v>
      </c>
      <c r="J13" s="15">
        <v>44470</v>
      </c>
      <c r="K13" s="15">
        <v>44501</v>
      </c>
      <c r="L13" s="15">
        <v>44531</v>
      </c>
      <c r="M13" s="15">
        <v>44562</v>
      </c>
      <c r="N13" s="15">
        <v>44593</v>
      </c>
      <c r="O13" s="15">
        <v>44621</v>
      </c>
    </row>
    <row r="14" spans="3:15" x14ac:dyDescent="0.25">
      <c r="C14" s="29" t="s">
        <v>115</v>
      </c>
      <c r="J14" s="59">
        <v>9153.1957852688156</v>
      </c>
      <c r="K14" s="59">
        <v>7762.5783648333309</v>
      </c>
      <c r="L14" s="59">
        <v>7831.3270968145152</v>
      </c>
      <c r="M14" s="59">
        <v>8417.245791774194</v>
      </c>
      <c r="N14" s="59">
        <v>9059.1360847023825</v>
      </c>
      <c r="O14" s="59">
        <v>9079.9995620161299</v>
      </c>
    </row>
    <row r="15" spans="3:15" x14ac:dyDescent="0.25">
      <c r="C15" s="29" t="s">
        <v>116</v>
      </c>
      <c r="J15" s="59">
        <v>7857.5704930083803</v>
      </c>
      <c r="K15" s="59">
        <v>6560.8778346564741</v>
      </c>
      <c r="L15" s="59">
        <v>6843.1488199518144</v>
      </c>
      <c r="M15" s="59">
        <v>7321.1836177150526</v>
      </c>
      <c r="N15" s="59">
        <v>8331.6962290443244</v>
      </c>
      <c r="O15" s="59">
        <v>8584.5283187365603</v>
      </c>
    </row>
    <row r="16" spans="3:15" x14ac:dyDescent="0.25">
      <c r="C16" s="29" t="s">
        <v>136</v>
      </c>
      <c r="J16" s="59">
        <v>1295.6252922604356</v>
      </c>
      <c r="K16" s="59">
        <v>1201.7005301768581</v>
      </c>
      <c r="L16" s="59">
        <v>988.17827686270061</v>
      </c>
      <c r="M16" s="59">
        <v>1090.543991935484</v>
      </c>
      <c r="N16" s="59">
        <v>727.43985565805519</v>
      </c>
      <c r="O16" s="59">
        <v>495.47124327956999</v>
      </c>
    </row>
    <row r="17" spans="3:15" x14ac:dyDescent="0.25">
      <c r="C17" s="29" t="s">
        <v>117</v>
      </c>
      <c r="J17" s="59">
        <v>159.63816532258065</v>
      </c>
      <c r="K17" s="59">
        <v>324.65843557819721</v>
      </c>
      <c r="L17" s="59">
        <v>196.20039717741932</v>
      </c>
      <c r="M17" s="59">
        <v>144.33326875</v>
      </c>
      <c r="N17" s="59">
        <v>87.38152083333334</v>
      </c>
      <c r="O17" s="59">
        <v>73.270596774193606</v>
      </c>
    </row>
    <row r="18" spans="3:15" x14ac:dyDescent="0.25">
      <c r="C18" s="87" t="s">
        <v>118</v>
      </c>
      <c r="J18" s="88">
        <v>146.75577005831599</v>
      </c>
      <c r="K18" s="88">
        <v>293.49514340167582</v>
      </c>
      <c r="L18" s="88">
        <v>185.45855998519389</v>
      </c>
      <c r="M18" s="88">
        <v>138.8786700908116</v>
      </c>
      <c r="N18" s="88">
        <v>76.440341355096734</v>
      </c>
      <c r="O18" s="88">
        <v>69.948078554059776</v>
      </c>
    </row>
    <row r="19" spans="3:15" ht="15" customHeight="1" x14ac:dyDescent="0.25">
      <c r="C19" s="89" t="s">
        <v>137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</sheetData>
  <mergeCells count="2">
    <mergeCell ref="C9:J9"/>
    <mergeCell ref="C19:O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FF99"/>
  </sheetPr>
  <dimension ref="A1:J48"/>
  <sheetViews>
    <sheetView tabSelected="1" view="pageBreakPreview" zoomScale="60" zoomScaleNormal="85" workbookViewId="0">
      <selection activeCell="E5" sqref="E5"/>
    </sheetView>
  </sheetViews>
  <sheetFormatPr defaultRowHeight="15" x14ac:dyDescent="0.25"/>
  <cols>
    <col min="2" max="2" width="14.5703125" customWidth="1"/>
    <col min="3" max="3" width="52.28515625" customWidth="1"/>
    <col min="4" max="4" width="14" customWidth="1"/>
    <col min="5" max="5" width="21.28515625" style="12" customWidth="1"/>
  </cols>
  <sheetData>
    <row r="1" spans="2:5" s="38" customFormat="1" ht="30.75" customHeight="1" x14ac:dyDescent="0.25">
      <c r="B1" s="74" t="s">
        <v>0</v>
      </c>
      <c r="C1" s="74"/>
      <c r="D1" s="75" t="s">
        <v>1</v>
      </c>
      <c r="E1" s="47" t="s">
        <v>131</v>
      </c>
    </row>
    <row r="2" spans="2:5" ht="30.75" customHeight="1" x14ac:dyDescent="0.25">
      <c r="B2" s="74"/>
      <c r="C2" s="74"/>
      <c r="D2" s="76"/>
      <c r="E2" s="61" t="s">
        <v>135</v>
      </c>
    </row>
    <row r="3" spans="2:5" ht="24.95" customHeight="1" x14ac:dyDescent="0.25">
      <c r="B3" s="1" t="s">
        <v>2</v>
      </c>
      <c r="C3" s="1" t="s">
        <v>3</v>
      </c>
      <c r="D3" s="2" t="s">
        <v>4</v>
      </c>
      <c r="E3" s="3">
        <f>'Abstract Avail&amp;Strand'!J4</f>
        <v>8546.5273441140107</v>
      </c>
    </row>
    <row r="4" spans="2:5" ht="34.5" customHeight="1" x14ac:dyDescent="0.25">
      <c r="B4" s="4" t="s">
        <v>5</v>
      </c>
      <c r="C4" s="4" t="s">
        <v>6</v>
      </c>
      <c r="D4" s="2" t="s">
        <v>4</v>
      </c>
      <c r="E4" s="37">
        <f>'Abstract Avail&amp;Strand'!J8</f>
        <v>152.29372142490553</v>
      </c>
    </row>
    <row r="5" spans="2:5" ht="30.75" customHeight="1" x14ac:dyDescent="0.25">
      <c r="B5" s="4" t="s">
        <v>8</v>
      </c>
      <c r="C5" s="4" t="s">
        <v>9</v>
      </c>
      <c r="D5" s="2" t="s">
        <v>10</v>
      </c>
      <c r="E5" s="51">
        <f>'Actual FC &amp; PGCIL &amp; TM Cost'!C40</f>
        <v>6063.7728833029469</v>
      </c>
    </row>
    <row r="6" spans="2:5" ht="24.95" customHeight="1" x14ac:dyDescent="0.25">
      <c r="B6" s="4" t="s">
        <v>12</v>
      </c>
      <c r="C6" s="7" t="s">
        <v>13</v>
      </c>
      <c r="D6" s="8" t="s">
        <v>14</v>
      </c>
      <c r="E6" s="3">
        <f>E5/E3</f>
        <v>0.70950137279781411</v>
      </c>
    </row>
    <row r="7" spans="2:5" ht="24.95" customHeight="1" x14ac:dyDescent="0.25">
      <c r="B7" s="4" t="s">
        <v>15</v>
      </c>
      <c r="C7" s="4" t="s">
        <v>16</v>
      </c>
      <c r="D7" s="2" t="s">
        <v>10</v>
      </c>
      <c r="E7" s="3">
        <f>E6*E4</f>
        <v>108.05260441945835</v>
      </c>
    </row>
    <row r="8" spans="2:5" ht="30.75" customHeight="1" x14ac:dyDescent="0.25">
      <c r="B8" s="4" t="s">
        <v>17</v>
      </c>
      <c r="C8" s="4" t="s">
        <v>18</v>
      </c>
      <c r="D8" s="39" t="s">
        <v>10</v>
      </c>
      <c r="E8" s="6">
        <f>'Actual FC &amp; PGCIL &amp; TM Cost'!C53</f>
        <v>2080.8568433066039</v>
      </c>
    </row>
    <row r="9" spans="2:5" ht="24.95" customHeight="1" x14ac:dyDescent="0.25">
      <c r="B9" s="4" t="s">
        <v>19</v>
      </c>
      <c r="C9" s="4" t="s">
        <v>20</v>
      </c>
      <c r="D9" s="2" t="s">
        <v>21</v>
      </c>
      <c r="E9" s="3">
        <f>'Actual FC &amp; PGCIL &amp; TM Cost'!G16</f>
        <v>36015.417497818693</v>
      </c>
    </row>
    <row r="10" spans="2:5" ht="24.95" customHeight="1" x14ac:dyDescent="0.25">
      <c r="B10" s="4" t="s">
        <v>22</v>
      </c>
      <c r="C10" s="4" t="s">
        <v>23</v>
      </c>
      <c r="D10" s="2" t="s">
        <v>24</v>
      </c>
      <c r="E10" s="3">
        <f>E8/E9*10</f>
        <v>0.57776835252087055</v>
      </c>
    </row>
    <row r="11" spans="2:5" s="38" customFormat="1" ht="28.5" customHeight="1" x14ac:dyDescent="0.25">
      <c r="B11" s="49" t="s">
        <v>25</v>
      </c>
      <c r="C11" s="39" t="s">
        <v>26</v>
      </c>
      <c r="D11" s="39" t="s">
        <v>24</v>
      </c>
      <c r="E11" s="37">
        <f>'Actual FC &amp; PGCIL &amp; TM Cost'!H16</f>
        <v>1.0475393514545726</v>
      </c>
    </row>
    <row r="12" spans="2:5" ht="18.75" customHeight="1" x14ac:dyDescent="0.25">
      <c r="B12" s="4" t="s">
        <v>27</v>
      </c>
      <c r="C12" s="4" t="s">
        <v>28</v>
      </c>
      <c r="D12" s="2" t="s">
        <v>24</v>
      </c>
      <c r="E12" s="3">
        <f t="shared" ref="E12" si="0">E11+E10</f>
        <v>1.6253077039754431</v>
      </c>
    </row>
    <row r="13" spans="2:5" ht="33.75" customHeight="1" x14ac:dyDescent="0.25">
      <c r="B13" s="4" t="s">
        <v>29</v>
      </c>
      <c r="C13" s="4" t="s">
        <v>30</v>
      </c>
      <c r="D13" s="2" t="s">
        <v>21</v>
      </c>
      <c r="E13" s="5">
        <v>1993.2030130000001</v>
      </c>
    </row>
    <row r="14" spans="2:5" ht="36" customHeight="1" x14ac:dyDescent="0.25">
      <c r="B14" s="4" t="s">
        <v>31</v>
      </c>
      <c r="C14" s="9" t="s">
        <v>32</v>
      </c>
      <c r="D14" s="2" t="s">
        <v>10</v>
      </c>
      <c r="E14" s="3">
        <f>E13*E12/10</f>
        <v>323.95682126159653</v>
      </c>
    </row>
    <row r="15" spans="2:5" ht="36" customHeight="1" x14ac:dyDescent="0.25">
      <c r="B15" s="4" t="s">
        <v>33</v>
      </c>
      <c r="C15" s="4" t="s">
        <v>34</v>
      </c>
      <c r="D15" s="2" t="s">
        <v>10</v>
      </c>
      <c r="E15" s="10">
        <v>179.95040546441402</v>
      </c>
    </row>
    <row r="16" spans="2:5" ht="24.95" customHeight="1" x14ac:dyDescent="0.25">
      <c r="B16" s="4" t="s">
        <v>36</v>
      </c>
      <c r="C16" s="4" t="s">
        <v>37</v>
      </c>
      <c r="D16" s="2" t="s">
        <v>10</v>
      </c>
      <c r="E16" s="3">
        <f>E15-E14</f>
        <v>-144.00641579718251</v>
      </c>
    </row>
    <row r="17" spans="1:10" ht="24.95" customHeight="1" x14ac:dyDescent="0.25">
      <c r="B17" s="4" t="s">
        <v>38</v>
      </c>
      <c r="C17" s="4" t="s">
        <v>39</v>
      </c>
      <c r="D17" s="2" t="s">
        <v>10</v>
      </c>
      <c r="E17" s="3">
        <f>E7-E16</f>
        <v>252.05902021664087</v>
      </c>
    </row>
    <row r="18" spans="1:10" s="38" customFormat="1" ht="31.5" customHeight="1" x14ac:dyDescent="0.25">
      <c r="B18" s="7" t="s">
        <v>40</v>
      </c>
      <c r="C18" s="7" t="s">
        <v>41</v>
      </c>
      <c r="D18" s="39" t="s">
        <v>21</v>
      </c>
      <c r="E18" s="37">
        <v>370.34024534000002</v>
      </c>
      <c r="G18" s="78"/>
      <c r="H18" s="79"/>
      <c r="I18" s="79"/>
      <c r="J18" s="79"/>
    </row>
    <row r="19" spans="1:10" ht="24.95" customHeight="1" x14ac:dyDescent="0.25">
      <c r="B19" s="4" t="s">
        <v>43</v>
      </c>
      <c r="C19" s="4" t="s">
        <v>44</v>
      </c>
      <c r="D19" s="2" t="s">
        <v>24</v>
      </c>
      <c r="E19" s="36">
        <f>E17/E18*10</f>
        <v>6.8061471414005208</v>
      </c>
    </row>
    <row r="20" spans="1:10" x14ac:dyDescent="0.25">
      <c r="E20"/>
    </row>
    <row r="21" spans="1:10" x14ac:dyDescent="0.25">
      <c r="E21"/>
    </row>
    <row r="22" spans="1:10" hidden="1" x14ac:dyDescent="0.25"/>
    <row r="23" spans="1:10" hidden="1" x14ac:dyDescent="0.25">
      <c r="C23" s="2" t="s">
        <v>11</v>
      </c>
      <c r="D23" s="2"/>
    </row>
    <row r="24" spans="1:10" hidden="1" x14ac:dyDescent="0.25">
      <c r="C24" s="2" t="s">
        <v>45</v>
      </c>
      <c r="D24" s="2"/>
    </row>
    <row r="25" spans="1:10" hidden="1" x14ac:dyDescent="0.25"/>
    <row r="26" spans="1:10" hidden="1" x14ac:dyDescent="0.25"/>
    <row r="27" spans="1:10" hidden="1" x14ac:dyDescent="0.25"/>
    <row r="28" spans="1:10" hidden="1" x14ac:dyDescent="0.25">
      <c r="C28" s="2" t="s">
        <v>46</v>
      </c>
      <c r="D28" s="2"/>
    </row>
    <row r="29" spans="1:10" hidden="1" x14ac:dyDescent="0.25">
      <c r="C29" s="2" t="s">
        <v>42</v>
      </c>
      <c r="D29" s="2"/>
    </row>
    <row r="30" spans="1:10" hidden="1" x14ac:dyDescent="0.25">
      <c r="A30" s="14" t="s">
        <v>47</v>
      </c>
      <c r="C30" s="2" t="s">
        <v>48</v>
      </c>
      <c r="D30" s="2"/>
    </row>
    <row r="31" spans="1:10" hidden="1" x14ac:dyDescent="0.25">
      <c r="A31" s="14" t="s">
        <v>49</v>
      </c>
      <c r="C31" s="2" t="s">
        <v>50</v>
      </c>
      <c r="D31" s="2"/>
    </row>
    <row r="32" spans="1:10" hidden="1" x14ac:dyDescent="0.25"/>
    <row r="33" spans="3:4" hidden="1" x14ac:dyDescent="0.25"/>
    <row r="34" spans="3:4" hidden="1" x14ac:dyDescent="0.25"/>
    <row r="35" spans="3:4" hidden="1" x14ac:dyDescent="0.25">
      <c r="C35" s="2" t="s">
        <v>51</v>
      </c>
      <c r="D35" s="2"/>
    </row>
    <row r="36" spans="3:4" hidden="1" x14ac:dyDescent="0.25">
      <c r="C36" s="2" t="s">
        <v>52</v>
      </c>
      <c r="D36" s="2"/>
    </row>
    <row r="37" spans="3:4" hidden="1" x14ac:dyDescent="0.25">
      <c r="C37" s="2" t="s">
        <v>53</v>
      </c>
      <c r="D37" s="2"/>
    </row>
    <row r="38" spans="3:4" hidden="1" x14ac:dyDescent="0.25"/>
    <row r="39" spans="3:4" hidden="1" x14ac:dyDescent="0.25"/>
    <row r="40" spans="3:4" hidden="1" x14ac:dyDescent="0.25"/>
    <row r="41" spans="3:4" hidden="1" x14ac:dyDescent="0.25">
      <c r="C41" s="2" t="s">
        <v>54</v>
      </c>
      <c r="D41" s="2"/>
    </row>
    <row r="42" spans="3:4" hidden="1" x14ac:dyDescent="0.25">
      <c r="C42" s="2" t="s">
        <v>55</v>
      </c>
      <c r="D42" s="2"/>
    </row>
    <row r="43" spans="3:4" hidden="1" x14ac:dyDescent="0.25">
      <c r="C43" s="2" t="s">
        <v>35</v>
      </c>
      <c r="D43" s="2"/>
    </row>
    <row r="44" spans="3:4" hidden="1" x14ac:dyDescent="0.25"/>
    <row r="45" spans="3:4" hidden="1" x14ac:dyDescent="0.25"/>
    <row r="46" spans="3:4" hidden="1" x14ac:dyDescent="0.25"/>
    <row r="47" spans="3:4" hidden="1" x14ac:dyDescent="0.25">
      <c r="C47" s="4" t="s">
        <v>56</v>
      </c>
      <c r="D47" s="2"/>
    </row>
    <row r="48" spans="3:4" hidden="1" x14ac:dyDescent="0.25">
      <c r="C48" s="4" t="s">
        <v>7</v>
      </c>
      <c r="D48" s="2"/>
    </row>
  </sheetData>
  <mergeCells count="2">
    <mergeCell ref="B1:C2"/>
    <mergeCell ref="D1:D2"/>
  </mergeCells>
  <pageMargins left="0.7" right="0.7" top="0.75" bottom="0.75" header="0.3" footer="0.3"/>
  <pageSetup scale="80" orientation="landscape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3"/>
  <sheetViews>
    <sheetView workbookViewId="0">
      <selection activeCell="G7" sqref="G7"/>
    </sheetView>
  </sheetViews>
  <sheetFormatPr defaultRowHeight="15" x14ac:dyDescent="0.25"/>
  <cols>
    <col min="4" max="6" width="10.5703125" customWidth="1"/>
  </cols>
  <sheetData>
    <row r="3" spans="3:7" s="14" customFormat="1" x14ac:dyDescent="0.25">
      <c r="C3" s="74" t="s">
        <v>119</v>
      </c>
      <c r="D3" s="77" t="s">
        <v>130</v>
      </c>
      <c r="E3" s="77"/>
      <c r="F3" s="77"/>
    </row>
    <row r="4" spans="3:7" s="13" customFormat="1" x14ac:dyDescent="0.25">
      <c r="C4" s="74"/>
      <c r="D4" s="53" t="s">
        <v>128</v>
      </c>
      <c r="E4" s="53" t="s">
        <v>129</v>
      </c>
      <c r="F4" s="53" t="s">
        <v>105</v>
      </c>
    </row>
    <row r="5" spans="3:7" s="48" customFormat="1" hidden="1" x14ac:dyDescent="0.25">
      <c r="C5" s="57" t="s">
        <v>120</v>
      </c>
      <c r="D5" s="56"/>
      <c r="E5" s="56"/>
      <c r="F5" s="58">
        <f>485856564.5/10^6</f>
        <v>485.85656449999999</v>
      </c>
    </row>
    <row r="6" spans="3:7" s="48" customFormat="1" hidden="1" x14ac:dyDescent="0.25">
      <c r="C6" s="57" t="s">
        <v>121</v>
      </c>
      <c r="D6" s="56"/>
      <c r="E6" s="56"/>
      <c r="F6" s="58">
        <f>947768055.5/10^6</f>
        <v>947.76805549999995</v>
      </c>
    </row>
    <row r="7" spans="3:7" x14ac:dyDescent="0.25">
      <c r="C7" s="2" t="s">
        <v>122</v>
      </c>
      <c r="D7" s="54">
        <v>1046.1329619999999</v>
      </c>
      <c r="E7" s="54">
        <v>1113.30503635375</v>
      </c>
      <c r="F7" s="55">
        <f>SUM(D7:E7)</f>
        <v>2159.4379983537501</v>
      </c>
    </row>
    <row r="8" spans="3:7" x14ac:dyDescent="0.25">
      <c r="C8" s="2" t="s">
        <v>123</v>
      </c>
      <c r="D8" s="54">
        <v>1034.2393849999999</v>
      </c>
      <c r="E8" s="54">
        <v>719.495721</v>
      </c>
      <c r="F8" s="55">
        <f t="shared" ref="F8:F12" si="0">SUM(D8:E8)</f>
        <v>1753.7351059999999</v>
      </c>
    </row>
    <row r="9" spans="3:7" x14ac:dyDescent="0.25">
      <c r="C9" s="2" t="s">
        <v>124</v>
      </c>
      <c r="D9" s="54">
        <v>484.28944399999995</v>
      </c>
      <c r="E9" s="54">
        <v>483.57670607</v>
      </c>
      <c r="F9" s="55">
        <f t="shared" si="0"/>
        <v>967.86615007</v>
      </c>
    </row>
    <row r="10" spans="3:7" x14ac:dyDescent="0.25">
      <c r="C10" s="2" t="s">
        <v>125</v>
      </c>
      <c r="D10" s="54">
        <v>669.27946420000001</v>
      </c>
      <c r="E10" s="54">
        <v>859.21150440000019</v>
      </c>
      <c r="F10" s="55">
        <f t="shared" si="0"/>
        <v>1528.4909686000001</v>
      </c>
    </row>
    <row r="11" spans="3:7" x14ac:dyDescent="0.25">
      <c r="C11" s="2" t="s">
        <v>126</v>
      </c>
      <c r="D11" s="54">
        <v>868.04402991000006</v>
      </c>
      <c r="E11" s="54">
        <v>844.10998640000014</v>
      </c>
      <c r="F11" s="55">
        <f t="shared" si="0"/>
        <v>1712.1540163100003</v>
      </c>
    </row>
    <row r="12" spans="3:7" x14ac:dyDescent="0.25">
      <c r="C12" s="2" t="s">
        <v>127</v>
      </c>
      <c r="D12" s="54">
        <v>645.89654036999991</v>
      </c>
      <c r="E12" s="54"/>
      <c r="F12" s="55">
        <f t="shared" si="0"/>
        <v>645.89654036999991</v>
      </c>
    </row>
    <row r="13" spans="3:7" x14ac:dyDescent="0.25">
      <c r="D13" s="41">
        <f>AVERAGE(D7:D12)</f>
        <v>791.31363757999986</v>
      </c>
      <c r="F13" s="41">
        <f>AVERAGE(F7:F11)</f>
        <v>1624.3368478667501</v>
      </c>
      <c r="G13">
        <f>F13/2</f>
        <v>812.16842393337504</v>
      </c>
    </row>
  </sheetData>
  <mergeCells count="2">
    <mergeCell ref="C3:C4"/>
    <mergeCell ref="D3:F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Actual FC &amp; PGCIL &amp; TM Cost</vt:lpstr>
      <vt:lpstr>Abstract Avail&amp;Strand</vt:lpstr>
      <vt:lpstr>Addnl Surcharge 21-22_H2</vt:lpstr>
      <vt:lpstr>OA Sales Trend</vt:lpstr>
      <vt:lpstr>'Actual FC &amp; PGCIL &amp; TM Cost'!Print_Area</vt:lpstr>
      <vt:lpstr>'Addnl Surcharge 21-22_H2'!Print_Area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Satish</dc:creator>
  <cp:lastModifiedBy>TSSPDCL</cp:lastModifiedBy>
  <cp:lastPrinted>2022-05-19T09:53:27Z</cp:lastPrinted>
  <dcterms:created xsi:type="dcterms:W3CDTF">2019-10-25T12:02:31Z</dcterms:created>
  <dcterms:modified xsi:type="dcterms:W3CDTF">2022-07-18T07:10:48Z</dcterms:modified>
</cp:coreProperties>
</file>